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wb1-my.sharepoint.com/personal/tramsay_gawb_qld_gov_au/Documents/Open Data Reporting Submissions/"/>
    </mc:Choice>
  </mc:AlternateContent>
  <xr:revisionPtr revIDLastSave="170" documentId="4F51D3109136B3CDF2052BA9FB65FCC93D7F5F73" xr6:coauthVersionLast="37" xr6:coauthVersionMax="37" xr10:uidLastSave="{1B691062-DECD-427F-84BB-EAA967533480}"/>
  <bookViews>
    <workbookView xWindow="0" yWindow="0" windowWidth="25200" windowHeight="12345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5" i="1" l="1"/>
  <c r="B65" i="1"/>
  <c r="B64" i="1"/>
  <c r="C64" i="1" l="1"/>
  <c r="C63" i="1" l="1"/>
  <c r="B63" i="1"/>
  <c r="B61" i="1" l="1"/>
  <c r="B62" i="1" l="1"/>
  <c r="C51" i="1" l="1"/>
  <c r="B51" i="1"/>
  <c r="C39" i="1"/>
  <c r="C40" i="1" s="1"/>
  <c r="B39" i="1"/>
  <c r="C28" i="1"/>
  <c r="B27" i="1"/>
  <c r="B26" i="1"/>
  <c r="C18" i="1"/>
  <c r="C19" i="1" s="1"/>
  <c r="B14" i="1"/>
  <c r="C13" i="1"/>
  <c r="B7" i="1"/>
  <c r="B6" i="1"/>
  <c r="B5" i="1"/>
  <c r="B4" i="1"/>
  <c r="B3" i="1"/>
  <c r="B13" i="1" s="1"/>
  <c r="B2" i="1"/>
  <c r="B18" i="1"/>
  <c r="C29" i="1"/>
  <c r="C41" i="1" l="1"/>
  <c r="C52" i="1"/>
  <c r="B19" i="1"/>
  <c r="C20" i="1"/>
  <c r="B28" i="1"/>
  <c r="C30" i="1"/>
  <c r="C32" i="1" s="1"/>
  <c r="B32" i="1" s="1"/>
  <c r="C31" i="1"/>
  <c r="B29" i="1"/>
  <c r="B40" i="1"/>
  <c r="B52" i="1"/>
  <c r="B53" i="1" s="1"/>
  <c r="C53" i="1"/>
  <c r="C54" i="1" l="1"/>
  <c r="C55" i="1" s="1"/>
  <c r="B54" i="1"/>
  <c r="C21" i="1"/>
  <c r="C22" i="1" s="1"/>
  <c r="C23" i="1" s="1"/>
  <c r="C24" i="1" s="1"/>
  <c r="C25" i="1" s="1"/>
  <c r="C42" i="1"/>
  <c r="C43" i="1" s="1"/>
  <c r="C44" i="1" s="1"/>
  <c r="B41" i="1"/>
  <c r="C33" i="1"/>
  <c r="C34" i="1" s="1"/>
  <c r="B20" i="1"/>
  <c r="B30" i="1"/>
  <c r="B31" i="1" s="1"/>
  <c r="B56" i="1" l="1"/>
  <c r="C56" i="1"/>
  <c r="B55" i="1"/>
  <c r="B33" i="1"/>
  <c r="B34" i="1" s="1"/>
  <c r="B35" i="1" s="1"/>
  <c r="C45" i="1"/>
  <c r="C46" i="1" s="1"/>
  <c r="C35" i="1"/>
  <c r="B42" i="1"/>
  <c r="B21" i="1"/>
  <c r="C36" i="1"/>
  <c r="C37" i="1" s="1"/>
  <c r="C57" i="1" l="1"/>
  <c r="C58" i="1" s="1"/>
  <c r="B57" i="1"/>
  <c r="B58" i="1"/>
  <c r="B43" i="1"/>
  <c r="C47" i="1"/>
  <c r="C48" i="1" s="1"/>
  <c r="C49" i="1" s="1"/>
  <c r="B36" i="1"/>
  <c r="B37" i="1" s="1"/>
  <c r="B22" i="1"/>
  <c r="C61" i="1" l="1"/>
  <c r="B59" i="1"/>
  <c r="B60" i="1" s="1"/>
  <c r="C59" i="1"/>
  <c r="C60" i="1" s="1"/>
  <c r="B44" i="1"/>
  <c r="B23" i="1"/>
  <c r="B45" i="1" l="1"/>
  <c r="B46" i="1"/>
  <c r="B47" i="1" s="1"/>
  <c r="B48" i="1" s="1"/>
  <c r="B24" i="1"/>
  <c r="B25" i="1" s="1"/>
  <c r="B49" i="1" l="1"/>
</calcChain>
</file>

<file path=xl/sharedStrings.xml><?xml version="1.0" encoding="utf-8"?>
<sst xmlns="http://schemas.openxmlformats.org/spreadsheetml/2006/main" count="3" uniqueCount="3">
  <si>
    <t>Water Actual Consumption Volumetric ML</t>
  </si>
  <si>
    <t>Total  Raw (ML)</t>
  </si>
  <si>
    <t>Total Potable (ML)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</si>
</sst>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5"/>
  <sheetViews>
    <sheetView tabSelected="1" workbookViewId="0">
      <pane ySplit="1" topLeftCell="A47" activePane="bottomLeft" state="frozen"/>
      <selection pane="bottomLeft" activeCell="C68" sqref="C68"/>
    </sheetView>
  </sheetViews>
  <sheetFormatPr defaultRowHeight="15" x14ac:dyDescent="0.25"/>
  <cols>
    <col min="1" max="1" width="40.28515625" customWidth="1"/>
    <col min="2" max="2" width="22.28515625" bestFit="1" customWidth="1"/>
    <col min="3" max="3" width="20.855468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41456</v>
      </c>
      <c r="B2" s="2">
        <f>1973.65+499+499</f>
        <v>2971.65</v>
      </c>
      <c r="C2" s="2">
        <v>926.9</v>
      </c>
    </row>
    <row r="3" spans="1:3" x14ac:dyDescent="0.25">
      <c r="A3" s="1">
        <v>41487</v>
      </c>
      <c r="B3" s="2">
        <f>1634.56+500+400</f>
        <v>2534.56</v>
      </c>
      <c r="C3" s="2">
        <v>1035.76</v>
      </c>
    </row>
    <row r="4" spans="1:3" x14ac:dyDescent="0.25">
      <c r="A4" s="1">
        <v>41518</v>
      </c>
      <c r="B4" s="2">
        <f>1863.7+399+300</f>
        <v>2562.6999999999998</v>
      </c>
      <c r="C4" s="2">
        <v>1192.52</v>
      </c>
    </row>
    <row r="5" spans="1:3" x14ac:dyDescent="0.25">
      <c r="A5" s="1">
        <v>41548</v>
      </c>
      <c r="B5" s="2">
        <f>1939.55+405+608</f>
        <v>2952.55</v>
      </c>
      <c r="C5" s="2">
        <v>1293.22</v>
      </c>
    </row>
    <row r="6" spans="1:3" x14ac:dyDescent="0.25">
      <c r="A6" s="1">
        <v>41579</v>
      </c>
      <c r="B6" s="2">
        <f>1779.98+399+798</f>
        <v>2976.98</v>
      </c>
      <c r="C6" s="2">
        <v>1144.81</v>
      </c>
    </row>
    <row r="7" spans="1:3" x14ac:dyDescent="0.25">
      <c r="A7" s="1">
        <v>41609</v>
      </c>
      <c r="B7" s="2">
        <f>2082.7+500+500</f>
        <v>3082.7</v>
      </c>
      <c r="C7" s="2">
        <v>1221.3599999999999</v>
      </c>
    </row>
    <row r="8" spans="1:3" x14ac:dyDescent="0.25">
      <c r="A8" s="1">
        <v>41640</v>
      </c>
      <c r="B8" s="2">
        <v>3380.7900000000009</v>
      </c>
      <c r="C8" s="2">
        <v>1238.1400000000012</v>
      </c>
    </row>
    <row r="9" spans="1:3" x14ac:dyDescent="0.25">
      <c r="A9" s="1">
        <v>41671</v>
      </c>
      <c r="B9">
        <v>3005.37</v>
      </c>
      <c r="C9" s="2">
        <v>820.42</v>
      </c>
    </row>
    <row r="10" spans="1:3" x14ac:dyDescent="0.25">
      <c r="A10" s="1">
        <v>41699</v>
      </c>
      <c r="B10">
        <v>2734.48</v>
      </c>
      <c r="C10" s="2">
        <v>961.38</v>
      </c>
    </row>
    <row r="11" spans="1:3" x14ac:dyDescent="0.25">
      <c r="A11" s="1">
        <v>41730</v>
      </c>
      <c r="B11" s="2">
        <v>2689.5500000000029</v>
      </c>
      <c r="C11" s="2">
        <v>793.17000000000189</v>
      </c>
    </row>
    <row r="12" spans="1:3" x14ac:dyDescent="0.25">
      <c r="A12" s="1">
        <v>41760</v>
      </c>
      <c r="B12" s="2">
        <v>2876</v>
      </c>
      <c r="C12" s="2">
        <v>908.39999999999964</v>
      </c>
    </row>
    <row r="13" spans="1:3" x14ac:dyDescent="0.25">
      <c r="A13" s="1">
        <v>41791</v>
      </c>
      <c r="B13" s="2">
        <f>22586.22+6157+5571-SUM(B2:B12)</f>
        <v>2546.8899999999994</v>
      </c>
      <c r="C13" s="2">
        <f>12506.09-SUM(C2:C12)</f>
        <v>970.01000000000022</v>
      </c>
    </row>
    <row r="14" spans="1:3" x14ac:dyDescent="0.25">
      <c r="A14" s="1">
        <v>41821</v>
      </c>
      <c r="B14" s="2">
        <f>2004.54+1176</f>
        <v>3180.54</v>
      </c>
      <c r="C14" s="2">
        <v>1085.79</v>
      </c>
    </row>
    <row r="15" spans="1:3" x14ac:dyDescent="0.25">
      <c r="A15" s="1">
        <v>41852</v>
      </c>
      <c r="B15" s="2">
        <v>2995.46</v>
      </c>
      <c r="C15" s="2">
        <v>991.47000000000025</v>
      </c>
    </row>
    <row r="16" spans="1:3" x14ac:dyDescent="0.25">
      <c r="A16" s="1">
        <v>41883</v>
      </c>
      <c r="B16" s="2">
        <v>3140.5699999999997</v>
      </c>
      <c r="C16" s="2">
        <v>1032.1799999999998</v>
      </c>
    </row>
    <row r="17" spans="1:3" x14ac:dyDescent="0.25">
      <c r="A17" s="1">
        <v>41913</v>
      </c>
      <c r="B17" s="2">
        <v>3197.6000000000004</v>
      </c>
      <c r="C17" s="2">
        <v>1117.27</v>
      </c>
    </row>
    <row r="18" spans="1:3" x14ac:dyDescent="0.25">
      <c r="A18" s="1">
        <v>41944</v>
      </c>
      <c r="B18" s="2">
        <f>9477.43+4032+2023-SUM(B14:B17)</f>
        <v>3018.26</v>
      </c>
      <c r="C18" s="2">
        <f>5362.86-SUM(C14:C17)</f>
        <v>1136.1499999999996</v>
      </c>
    </row>
    <row r="19" spans="1:3" x14ac:dyDescent="0.25">
      <c r="A19" s="1">
        <v>41974</v>
      </c>
      <c r="B19" s="2">
        <f>2442+4451+11549.7-SUM(B14:B18)</f>
        <v>2910.2700000000004</v>
      </c>
      <c r="C19" s="2">
        <f>6432.1-SUM(C14:C18)</f>
        <v>1069.2400000000007</v>
      </c>
    </row>
    <row r="20" spans="1:3" x14ac:dyDescent="0.25">
      <c r="A20" s="1">
        <v>42005</v>
      </c>
      <c r="B20" s="2">
        <f>13504.23+2966+4661-SUM(B14:B19)</f>
        <v>2688.5299999999988</v>
      </c>
      <c r="C20" s="2">
        <f>7341.2-SUM(C14:C19)</f>
        <v>909.09999999999945</v>
      </c>
    </row>
    <row r="21" spans="1:3" x14ac:dyDescent="0.25">
      <c r="A21" s="1">
        <v>42036</v>
      </c>
      <c r="B21" s="2">
        <f>15151.29+3335+5092-SUM(B14:B20)</f>
        <v>2447.0600000000013</v>
      </c>
      <c r="C21" s="2">
        <f>8179.62-SUM(C14:C20)</f>
        <v>838.42000000000007</v>
      </c>
    </row>
    <row r="22" spans="1:3" x14ac:dyDescent="0.25">
      <c r="A22" s="1">
        <v>42064</v>
      </c>
      <c r="B22" s="2">
        <f>17269.56+3335+5586-SUM(B14:B21)</f>
        <v>2612.2700000000004</v>
      </c>
      <c r="C22" s="2">
        <f>9294.68-SUM(C14:C21)</f>
        <v>1115.0600000000004</v>
      </c>
    </row>
    <row r="23" spans="1:3" x14ac:dyDescent="0.25">
      <c r="A23" s="1">
        <v>42095</v>
      </c>
      <c r="B23" s="2">
        <f>19188.02+6088+3335-SUM(B14:B22)</f>
        <v>2420.4599999999991</v>
      </c>
      <c r="C23" s="2">
        <f>10201.55-SUM(C14:C22)</f>
        <v>906.86999999999898</v>
      </c>
    </row>
    <row r="24" spans="1:3" x14ac:dyDescent="0.25">
      <c r="A24" s="1">
        <v>42125</v>
      </c>
      <c r="B24" s="2">
        <f>20990.69+3999+6311-SUM(B14:B23)</f>
        <v>2689.6699999999983</v>
      </c>
      <c r="C24" s="2">
        <f>11050.67-SUM(C14:C23)</f>
        <v>849.1200000000008</v>
      </c>
    </row>
    <row r="25" spans="1:3" x14ac:dyDescent="0.25">
      <c r="A25" s="1">
        <v>42156</v>
      </c>
      <c r="B25" s="2">
        <f>22907.5+6825+4241-SUM(B14:B24)</f>
        <v>2672.8100000000013</v>
      </c>
      <c r="C25" s="2">
        <f>11932.65-SUM(C14:C24)</f>
        <v>881.97999999999956</v>
      </c>
    </row>
    <row r="26" spans="1:3" x14ac:dyDescent="0.25">
      <c r="A26" s="1">
        <v>42186</v>
      </c>
      <c r="B26">
        <f>1895.23+748+200</f>
        <v>2843.23</v>
      </c>
      <c r="C26">
        <v>919.48</v>
      </c>
    </row>
    <row r="27" spans="1:3" x14ac:dyDescent="0.25">
      <c r="A27" s="1">
        <v>42217</v>
      </c>
      <c r="B27">
        <f>1802.38+1022+388</f>
        <v>3212.38</v>
      </c>
      <c r="C27">
        <v>948.58</v>
      </c>
    </row>
    <row r="28" spans="1:3" x14ac:dyDescent="0.25">
      <c r="A28" s="1">
        <v>42248</v>
      </c>
      <c r="B28">
        <f>(5516.05+2280+1250)-B27-B26</f>
        <v>2990.4399999999991</v>
      </c>
      <c r="C28">
        <f>2845.53-C27-C26</f>
        <v>977.47000000000025</v>
      </c>
    </row>
    <row r="29" spans="1:3" x14ac:dyDescent="0.25">
      <c r="A29" s="1">
        <v>42278</v>
      </c>
      <c r="B29">
        <f>7585.3+2916+1808-B26-B27-B28</f>
        <v>3263.2500000000005</v>
      </c>
      <c r="C29">
        <f>3965.93-C28-C27-C26</f>
        <v>1120.3999999999996</v>
      </c>
    </row>
    <row r="30" spans="1:3" x14ac:dyDescent="0.25">
      <c r="A30" s="1">
        <v>42309</v>
      </c>
      <c r="B30">
        <f>9489.53+3738+1962-SUM(B26:B29)</f>
        <v>2880.2300000000014</v>
      </c>
      <c r="C30">
        <f>4921.73-SUM(C26:C29)</f>
        <v>955.79999999999973</v>
      </c>
    </row>
    <row r="31" spans="1:3" x14ac:dyDescent="0.25">
      <c r="A31" s="1">
        <v>42339</v>
      </c>
      <c r="B31">
        <f>11435.59+4668+2272-SUM(B26:B30)</f>
        <v>3186.0599999999995</v>
      </c>
      <c r="C31">
        <f>6028.41-SUM(C26:C30)</f>
        <v>1106.6800000000003</v>
      </c>
    </row>
    <row r="32" spans="1:3" x14ac:dyDescent="0.25">
      <c r="A32" s="1">
        <v>42370</v>
      </c>
      <c r="B32" s="2">
        <f>4341.27-C32</f>
        <v>3297.17</v>
      </c>
      <c r="C32" s="3">
        <f>7072.51-SUM(C26:C31)</f>
        <v>1044.1000000000004</v>
      </c>
    </row>
    <row r="33" spans="1:3" x14ac:dyDescent="0.25">
      <c r="A33" s="1">
        <v>42401</v>
      </c>
      <c r="B33">
        <f>15217.29+6089+3228-SUM(B26:B32)</f>
        <v>2861.5299999999988</v>
      </c>
      <c r="C33">
        <f>7943.04-SUM(C26:C32)</f>
        <v>870.52999999999975</v>
      </c>
    </row>
    <row r="34" spans="1:3" x14ac:dyDescent="0.25">
      <c r="A34" s="1">
        <v>42430</v>
      </c>
      <c r="B34">
        <f>17127.51+3692+6398-SUM(B26:B33)</f>
        <v>2683.2199999999975</v>
      </c>
      <c r="C34" s="2">
        <f>8813.54-SUM(C26:C33)</f>
        <v>870.50000000000091</v>
      </c>
    </row>
    <row r="35" spans="1:3" x14ac:dyDescent="0.25">
      <c r="A35" s="1">
        <v>42461</v>
      </c>
      <c r="B35">
        <f>29875.77-SUM(B26:B34)</f>
        <v>2658.260000000002</v>
      </c>
      <c r="C35" s="2">
        <f>9809.71-SUM(C26:C34)</f>
        <v>996.16999999999825</v>
      </c>
    </row>
    <row r="36" spans="1:3" x14ac:dyDescent="0.25">
      <c r="A36" s="1">
        <v>42491</v>
      </c>
      <c r="B36">
        <f>21090.22+7303+4498-SUM(B26:B35)</f>
        <v>3015.4500000000007</v>
      </c>
      <c r="C36">
        <f>10842.72-SUM(C26:C35)</f>
        <v>1033.0100000000002</v>
      </c>
    </row>
    <row r="37" spans="1:3" x14ac:dyDescent="0.25">
      <c r="A37" s="1">
        <v>42522</v>
      </c>
      <c r="B37" s="2">
        <f>7923+4855+22851.62-SUM(B26:B36)</f>
        <v>2738.3999999999942</v>
      </c>
      <c r="C37">
        <f>11671.606-SUM(C26:C36)</f>
        <v>828.88600000000042</v>
      </c>
    </row>
    <row r="38" spans="1:3" x14ac:dyDescent="0.25">
      <c r="A38" s="1">
        <v>42552</v>
      </c>
      <c r="B38">
        <v>3126.63</v>
      </c>
      <c r="C38">
        <v>724.95</v>
      </c>
    </row>
    <row r="39" spans="1:3" x14ac:dyDescent="0.25">
      <c r="A39" s="1">
        <v>42583</v>
      </c>
      <c r="B39">
        <f>3640.44+1462+1251-B38</f>
        <v>3226.8100000000004</v>
      </c>
      <c r="C39">
        <f>1567.12-C38</f>
        <v>842.16999999999985</v>
      </c>
    </row>
    <row r="40" spans="1:3" x14ac:dyDescent="0.25">
      <c r="A40" s="1">
        <v>42614</v>
      </c>
      <c r="B40">
        <f>5370.73+2166+1818-SUM(B38:B39)</f>
        <v>3001.2899999999991</v>
      </c>
      <c r="C40">
        <f>2335.58-SUM(C38:C39)</f>
        <v>768.46</v>
      </c>
    </row>
    <row r="41" spans="1:3" x14ac:dyDescent="0.25">
      <c r="A41" s="1">
        <v>42644</v>
      </c>
      <c r="B41">
        <f>3089+2496+7399.51-SUM(B38:B40)</f>
        <v>3629.7800000000007</v>
      </c>
      <c r="C41">
        <f>3301.3-SUM(C38:C40)</f>
        <v>965.72000000000025</v>
      </c>
    </row>
    <row r="42" spans="1:3" x14ac:dyDescent="0.25">
      <c r="A42" s="1">
        <v>42675</v>
      </c>
      <c r="B42">
        <f>9421.33+2884+3544-SUM(B38:B41)</f>
        <v>2864.8199999999997</v>
      </c>
      <c r="C42">
        <f>4358.15-SUM(C38:C41)</f>
        <v>1056.8499999999995</v>
      </c>
    </row>
    <row r="43" spans="1:3" x14ac:dyDescent="0.25">
      <c r="A43" s="1">
        <v>42705</v>
      </c>
      <c r="B43">
        <f>4128+3413+11527.1-SUM(B38:B42)</f>
        <v>3218.7699999999986</v>
      </c>
      <c r="C43">
        <f>5342.85-SUM(C38:C42)</f>
        <v>984.70000000000073</v>
      </c>
    </row>
    <row r="44" spans="1:3" x14ac:dyDescent="0.25">
      <c r="A44" s="1">
        <v>42736</v>
      </c>
      <c r="B44">
        <f>4984+3914+13483.63-SUM(B38:B43)</f>
        <v>3313.5299999999988</v>
      </c>
      <c r="C44">
        <f>6206.82-SUM(C38:C43)</f>
        <v>863.96999999999935</v>
      </c>
    </row>
    <row r="45" spans="1:3" x14ac:dyDescent="0.25">
      <c r="A45" s="1">
        <v>42767</v>
      </c>
      <c r="B45" s="2">
        <f>5566+4766+15325.63-SUM(B38:B44)</f>
        <v>3276</v>
      </c>
      <c r="C45">
        <f>6917.65-SUM(C38:C44)</f>
        <v>710.82999999999993</v>
      </c>
    </row>
    <row r="46" spans="1:3" x14ac:dyDescent="0.25">
      <c r="A46" s="1">
        <v>42795</v>
      </c>
      <c r="B46" s="2">
        <f>6249+5546+17220.903-SUM(B38:B45)</f>
        <v>3358.273000000001</v>
      </c>
      <c r="C46">
        <f>8032.07-SUM(C38:C45)</f>
        <v>1114.42</v>
      </c>
    </row>
    <row r="47" spans="1:3" x14ac:dyDescent="0.25">
      <c r="A47" s="1">
        <v>42826</v>
      </c>
      <c r="B47" s="2">
        <f>6748+5846+19067.71-SUM($B$38:B46)</f>
        <v>2645.8070000000007</v>
      </c>
      <c r="C47">
        <f>8872.59-SUM($C$38:C46)</f>
        <v>840.52000000000044</v>
      </c>
    </row>
    <row r="48" spans="1:3" x14ac:dyDescent="0.25">
      <c r="A48" s="1">
        <v>42856</v>
      </c>
      <c r="B48" s="2">
        <f>34810.5-SUM($B$38:B47)</f>
        <v>3148.7900000000009</v>
      </c>
      <c r="C48">
        <f>9743.34-SUM($C$38:C47)</f>
        <v>870.75</v>
      </c>
    </row>
    <row r="49" spans="1:3" x14ac:dyDescent="0.25">
      <c r="A49" s="1">
        <v>42887</v>
      </c>
      <c r="B49" s="2">
        <f>37387.07-SUM($B$38:B48)</f>
        <v>2576.5699999999997</v>
      </c>
      <c r="C49">
        <f>10654.68-SUM($C$38:C48)</f>
        <v>911.34000000000015</v>
      </c>
    </row>
    <row r="50" spans="1:3" x14ac:dyDescent="0.25">
      <c r="A50" s="1">
        <v>42917</v>
      </c>
      <c r="B50">
        <v>3148.57</v>
      </c>
      <c r="C50">
        <v>859.07</v>
      </c>
    </row>
    <row r="51" spans="1:3" x14ac:dyDescent="0.25">
      <c r="A51" s="1">
        <v>42948</v>
      </c>
      <c r="B51" s="2">
        <f>6121.55-SUM($B$50:B50)</f>
        <v>2972.98</v>
      </c>
      <c r="C51">
        <f>1734.52-SUM($C$50:C50)</f>
        <v>875.44999999999993</v>
      </c>
    </row>
    <row r="52" spans="1:3" x14ac:dyDescent="0.25">
      <c r="A52" s="1">
        <v>42979</v>
      </c>
      <c r="B52" s="2">
        <f>8942.18-SUM($B$50:B51)</f>
        <v>2820.63</v>
      </c>
      <c r="C52">
        <f>2789.86-SUM($C$50:C51)</f>
        <v>1055.3400000000001</v>
      </c>
    </row>
    <row r="53" spans="1:3" x14ac:dyDescent="0.25">
      <c r="A53" s="1">
        <v>43009</v>
      </c>
      <c r="B53">
        <f>15770.37-3573.44-SUM(B50:B52)</f>
        <v>3254.75</v>
      </c>
      <c r="C53">
        <f>3573.44-SUM(C50:C52)</f>
        <v>783.57999999999993</v>
      </c>
    </row>
    <row r="54" spans="1:3" x14ac:dyDescent="0.25">
      <c r="A54" s="1">
        <v>43040</v>
      </c>
      <c r="B54" s="2">
        <f>9205.73+3170.5+3074.5-SUM(B50:B53)</f>
        <v>3253.7999999999993</v>
      </c>
      <c r="C54">
        <f>4467.92-SUM(C50:C53)</f>
        <v>894.48</v>
      </c>
    </row>
    <row r="55" spans="1:3" x14ac:dyDescent="0.25">
      <c r="A55" s="1">
        <v>43070</v>
      </c>
      <c r="B55" s="2">
        <f>11140.6+3892.5+4036.5-SUM(B50:B54)</f>
        <v>3618.869999999999</v>
      </c>
      <c r="C55">
        <f>5391.19-SUM(C50:C54)</f>
        <v>923.26999999999953</v>
      </c>
    </row>
    <row r="56" spans="1:3" x14ac:dyDescent="0.25">
      <c r="A56" s="1">
        <v>43101</v>
      </c>
      <c r="B56" s="2">
        <f>13092.17+4651.5+4998.5-SUM(B50:B55)</f>
        <v>3672.5699999999997</v>
      </c>
      <c r="C56">
        <f>6336.58-SUM(C50:C55)</f>
        <v>945.39000000000033</v>
      </c>
    </row>
    <row r="57" spans="1:3" x14ac:dyDescent="0.25">
      <c r="A57" s="1">
        <v>43132</v>
      </c>
      <c r="B57" s="2">
        <f>14767.12+5452.5+5950.5-SUM(B50:B56)</f>
        <v>3427.9500000000044</v>
      </c>
      <c r="C57">
        <f>7159.57-SUM(C50:C56)</f>
        <v>822.98999999999978</v>
      </c>
    </row>
    <row r="58" spans="1:3" x14ac:dyDescent="0.25">
      <c r="A58" s="1">
        <v>43160</v>
      </c>
      <c r="B58" s="2">
        <f>16609.65+6905+6407-SUM(B50:B57)</f>
        <v>3751.5299999999988</v>
      </c>
      <c r="C58">
        <f>7992.15-SUM(C50:C57)</f>
        <v>832.57999999999993</v>
      </c>
    </row>
    <row r="59" spans="1:3" x14ac:dyDescent="0.25">
      <c r="A59" s="1">
        <v>43191</v>
      </c>
      <c r="B59" s="2">
        <f>18487.5+7335+7833-SUM(B50:B58)</f>
        <v>3733.8499999999985</v>
      </c>
      <c r="C59">
        <f>8900.98-SUM(C50:C58)</f>
        <v>908.82999999999993</v>
      </c>
    </row>
    <row r="60" spans="1:3" x14ac:dyDescent="0.25">
      <c r="A60" s="1">
        <v>43221</v>
      </c>
      <c r="B60" s="2">
        <f>20475.04+8288+8786-SUM(B50:B59)</f>
        <v>3893.5400000000009</v>
      </c>
      <c r="C60">
        <f>9845.64-SUM(C50:C59)</f>
        <v>944.65999999999985</v>
      </c>
    </row>
    <row r="61" spans="1:3" x14ac:dyDescent="0.25">
      <c r="A61" s="1">
        <v>43252</v>
      </c>
      <c r="B61" s="2">
        <f>22272+9223+9327-SUM(B50:B60)</f>
        <v>3272.9599999999991</v>
      </c>
      <c r="C61">
        <f>10770.85-SUM(C50:C60)</f>
        <v>925.21000000000095</v>
      </c>
    </row>
    <row r="62" spans="1:3" x14ac:dyDescent="0.25">
      <c r="A62" s="1">
        <v>43282</v>
      </c>
      <c r="B62" s="2">
        <f>1968.184+867+819</f>
        <v>3654.1840000000002</v>
      </c>
      <c r="C62">
        <v>853.86</v>
      </c>
    </row>
    <row r="63" spans="1:3" x14ac:dyDescent="0.25">
      <c r="A63" s="1">
        <v>43313</v>
      </c>
      <c r="B63" s="2">
        <f>4027.941+1661+1758-SUM(B62)</f>
        <v>3792.7569999999996</v>
      </c>
      <c r="C63" s="2">
        <f>1789.557-SUM(C62)</f>
        <v>935.697</v>
      </c>
    </row>
    <row r="64" spans="1:3" x14ac:dyDescent="0.25">
      <c r="A64" s="1">
        <v>43344</v>
      </c>
      <c r="B64" s="2">
        <f>5937.256+2310+1985-SUM(B62:B63)</f>
        <v>2785.3150000000014</v>
      </c>
      <c r="C64" s="2">
        <f>2809.087-SUM(C62:C63)</f>
        <v>1019.53</v>
      </c>
    </row>
    <row r="65" spans="1:3" x14ac:dyDescent="0.25">
      <c r="A65" s="1">
        <v>43374</v>
      </c>
      <c r="B65" s="2">
        <f>7922.336+2310+1985-SUM(B62:B64)</f>
        <v>1985.0799999999981</v>
      </c>
      <c r="C65" s="2">
        <f>3750.531-SUM(C62:C64)</f>
        <v>941.44399999999996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69591254FCE5459FCCC39D92187C66" ma:contentTypeVersion="10" ma:contentTypeDescription="Create a new document." ma:contentTypeScope="" ma:versionID="695644fc1007de82d790f535ffb0cc24">
  <xsd:schema xmlns:xsd="http://www.w3.org/2001/XMLSchema" xmlns:xs="http://www.w3.org/2001/XMLSchema" xmlns:p="http://schemas.microsoft.com/office/2006/metadata/properties" xmlns:ns2="cbdcd4cd-998a-4309-a8fa-2bddb51577d1" xmlns:ns3="ade450db-e59a-4188-b49e-b1814805ac8f" targetNamespace="http://schemas.microsoft.com/office/2006/metadata/properties" ma:root="true" ma:fieldsID="387fc63fa659605497ddc5bed6f2caf6" ns2:_="" ns3:_="">
    <xsd:import namespace="cbdcd4cd-998a-4309-a8fa-2bddb51577d1"/>
    <xsd:import namespace="ade450db-e59a-4188-b49e-b1814805ac8f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cd4cd-998a-4309-a8fa-2bddb51577d1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450db-e59a-4188-b49e-b1814805ac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04B61B-B4C1-47DF-9712-B15275B82D3A}"/>
</file>

<file path=customXml/itemProps2.xml><?xml version="1.0" encoding="utf-8"?>
<ds:datastoreItem xmlns:ds="http://schemas.openxmlformats.org/officeDocument/2006/customXml" ds:itemID="{D0B65C65-CD77-47F1-9601-A2C53E204279}"/>
</file>

<file path=customXml/itemProps3.xml><?xml version="1.0" encoding="utf-8"?>
<ds:datastoreItem xmlns:ds="http://schemas.openxmlformats.org/officeDocument/2006/customXml" ds:itemID="{53A20881-EDCA-4DF9-8E47-E179ED0E8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ttully</dc:creator>
  <cp:keywords/>
  <dc:description/>
  <cp:lastModifiedBy>Sarah Skinner</cp:lastModifiedBy>
  <cp:revision/>
  <dcterms:created xsi:type="dcterms:W3CDTF">2014-01-02T05:31:00Z</dcterms:created>
  <dcterms:modified xsi:type="dcterms:W3CDTF">2018-11-05T03:32:18Z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0x0101004769591254FCE5459FCCC39D92187C66</vt:lpwstr>
  </property>
</Properties>
</file>